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НТ ПРОСТОРЫ\ВСЕ ПАПКИ С ОБЛАКА\СНТ Просторы\СОБРАНИЕ 2025\На сайт\"/>
    </mc:Choice>
  </mc:AlternateContent>
  <xr:revisionPtr revIDLastSave="0" documentId="13_ncr:1_{AC0C554B-F217-47F9-B34A-55D3CBE09D28}" xr6:coauthVersionLast="47" xr6:coauthVersionMax="47" xr10:uidLastSave="{00000000-0000-0000-0000-000000000000}"/>
  <bookViews>
    <workbookView xWindow="852" yWindow="1428" windowWidth="22188" windowHeight="11532" xr2:uid="{1320841B-ADF8-4035-A702-F1E5F65A92FD}"/>
  </bookViews>
  <sheets>
    <sheet name="Отчет " sheetId="1" r:id="rId1"/>
  </sheets>
  <definedNames>
    <definedName name="Print_Area" localSheetId="0">'Отчет '!$A$1:$I$60</definedName>
    <definedName name="_xlnm.Print_Area" localSheetId="0">'Отчет '!$A$1:$X$60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H35" i="1"/>
  <c r="G32" i="1"/>
  <c r="H53" i="1" l="1"/>
  <c r="H52" i="1"/>
  <c r="H29" i="1"/>
  <c r="I43" i="1"/>
  <c r="H42" i="1"/>
  <c r="H44" i="1" s="1"/>
  <c r="H60" i="1"/>
  <c r="I41" i="1"/>
  <c r="I28" i="1"/>
  <c r="I26" i="1"/>
  <c r="I24" i="1"/>
  <c r="H22" i="1"/>
  <c r="I22" i="1" s="1"/>
  <c r="I21" i="1"/>
  <c r="I20" i="1"/>
  <c r="I8" i="1"/>
  <c r="G60" i="1"/>
  <c r="I18" i="1"/>
  <c r="H30" i="1" l="1"/>
  <c r="H45" i="1" s="1"/>
  <c r="I29" i="1"/>
  <c r="I42" i="1"/>
  <c r="G19" i="1"/>
  <c r="I19" i="1" s="1"/>
  <c r="G27" i="1"/>
  <c r="I27" i="1" s="1"/>
  <c r="G16" i="1"/>
  <c r="I16" i="1" s="1"/>
  <c r="I32" i="1"/>
  <c r="I33" i="1"/>
  <c r="F44" i="1" l="1"/>
  <c r="I25" i="1"/>
  <c r="I17" i="1"/>
  <c r="I34" i="1"/>
  <c r="I35" i="1" s="1"/>
  <c r="I40" i="1"/>
  <c r="I39" i="1"/>
  <c r="I38" i="1"/>
  <c r="I37" i="1"/>
  <c r="F35" i="1"/>
  <c r="I30" i="1" l="1"/>
  <c r="I44" i="1"/>
  <c r="F54" i="1"/>
  <c r="G44" i="1"/>
  <c r="I45" i="1" l="1"/>
  <c r="G54" i="1"/>
  <c r="H54" i="1" s="1"/>
  <c r="G35" i="1"/>
  <c r="L41" i="1" l="1"/>
  <c r="N16" i="1"/>
  <c r="K43" i="1" l="1"/>
  <c r="E18" i="1"/>
  <c r="E8" i="1"/>
  <c r="D30" i="1"/>
  <c r="E33" i="1" l="1"/>
  <c r="E17" i="1"/>
  <c r="G30" i="1" l="1"/>
  <c r="E30" i="1"/>
  <c r="G45" i="1" l="1"/>
  <c r="I47" i="1" s="1"/>
  <c r="O8" i="1" l="1"/>
  <c r="S6" i="1"/>
  <c r="O9" i="1"/>
  <c r="S7" i="1" l="1"/>
  <c r="S8" i="1" s="1"/>
  <c r="D35" i="1"/>
  <c r="E35" i="1"/>
</calcChain>
</file>

<file path=xl/sharedStrings.xml><?xml version="1.0" encoding="utf-8"?>
<sst xmlns="http://schemas.openxmlformats.org/spreadsheetml/2006/main" count="121" uniqueCount="114">
  <si>
    <t>ДОХОДЫ</t>
  </si>
  <si>
    <t>1.</t>
  </si>
  <si>
    <t>1.1.</t>
  </si>
  <si>
    <t>Работы и услуги по содержанию мест общего пользования</t>
  </si>
  <si>
    <t>1.2.</t>
  </si>
  <si>
    <t>Расходы в год</t>
  </si>
  <si>
    <t>1.3.</t>
  </si>
  <si>
    <t>1.4.</t>
  </si>
  <si>
    <t>Аккарицидная обработка территории</t>
  </si>
  <si>
    <t>1.5.</t>
  </si>
  <si>
    <t>1.6.</t>
  </si>
  <si>
    <t>2. Расходы на содержание оборудования</t>
  </si>
  <si>
    <t>2.1.</t>
  </si>
  <si>
    <t>Сумма в год (руб)</t>
  </si>
  <si>
    <t>Услуги банка</t>
  </si>
  <si>
    <t>Ставка  (руб. с 1 участка)</t>
  </si>
  <si>
    <t xml:space="preserve">Сумма в месяц </t>
  </si>
  <si>
    <t>Расходы по действующим договорам</t>
  </si>
  <si>
    <t>ВСЕГО по разделу</t>
  </si>
  <si>
    <t xml:space="preserve">Всего по разделу </t>
  </si>
  <si>
    <t>1.7.</t>
  </si>
  <si>
    <t>2.2.</t>
  </si>
  <si>
    <t xml:space="preserve">3.  Расходы, связанные с обслуживанием и управлением СНТ </t>
  </si>
  <si>
    <t>3.1.</t>
  </si>
  <si>
    <t>3.2.</t>
  </si>
  <si>
    <t>3.3.</t>
  </si>
  <si>
    <t>3.4.</t>
  </si>
  <si>
    <t>3.5.</t>
  </si>
  <si>
    <t>3.6.</t>
  </si>
  <si>
    <t>Сумма в месяц, руб. коп</t>
  </si>
  <si>
    <t>Сумма</t>
  </si>
  <si>
    <t>Кол-во мес</t>
  </si>
  <si>
    <t>Колв-во в месяц</t>
  </si>
  <si>
    <t>Смена 8 часов (2000 в час)</t>
  </si>
  <si>
    <t>Уборка снега</t>
  </si>
  <si>
    <t>Песок в песочницу</t>
  </si>
  <si>
    <t>Обязательные расходы на содержание и благоустройство (за счёт членских взносов)</t>
  </si>
  <si>
    <t>Аренда земельного участка по договору (переменная часть)</t>
  </si>
  <si>
    <t xml:space="preserve">Бухгалтерские услуги </t>
  </si>
  <si>
    <t>Оплата услуг управляющего</t>
  </si>
  <si>
    <t xml:space="preserve">Оплата услуг юриста </t>
  </si>
  <si>
    <t>Мобильное приложение, прием заявок онлайн</t>
  </si>
  <si>
    <t>Расходные материалы и инвентарь, бензин, масло для газонокосилки</t>
  </si>
  <si>
    <t>Энергопотребление уличного освещения</t>
  </si>
  <si>
    <t>№ п/п</t>
  </si>
  <si>
    <t>Стаья расходов</t>
  </si>
  <si>
    <t>ВСЕГО РАСХОДОВ ПО СМЕТЕ</t>
  </si>
  <si>
    <t>Ставка руб.коп в месяц</t>
  </si>
  <si>
    <t>Статья доходов</t>
  </si>
  <si>
    <t>Тариф интернет-провайдера для видеонаблюдения</t>
  </si>
  <si>
    <t>2.3.</t>
  </si>
  <si>
    <t>1.9.</t>
  </si>
  <si>
    <t>1.10.</t>
  </si>
  <si>
    <t>1.11.</t>
  </si>
  <si>
    <t>1.12.</t>
  </si>
  <si>
    <t>Итого в год, руб.коп</t>
  </si>
  <si>
    <t>РАСХОДЫ на содержание земель общего пользования и общего имущества (членские взносы)</t>
  </si>
  <si>
    <t>Расходы на ремонт объектов общего пользования, благоустройство</t>
  </si>
  <si>
    <t>Расходы в связи с изменением Устава, продлением ЭЦП  и тд</t>
  </si>
  <si>
    <t>Оплата  услуг за охранные услуги  (ИП Луговой)  за январь 2024 года</t>
  </si>
  <si>
    <t>Приобретение мусорного контейнера с педалью и доставкой</t>
  </si>
  <si>
    <t>3.7.</t>
  </si>
  <si>
    <t>Расходы</t>
  </si>
  <si>
    <t>Взносы</t>
  </si>
  <si>
    <t>Охранные услуги по договору (новый ЧОП),  март, апрель 2024 года</t>
  </si>
  <si>
    <t>Замена ламп на фонарных столбах, 30 штук</t>
  </si>
  <si>
    <t>Услуги электрика и автовышки</t>
  </si>
  <si>
    <t>Разница</t>
  </si>
  <si>
    <t xml:space="preserve">Шлагбаум (2 штуки) </t>
  </si>
  <si>
    <t xml:space="preserve">Снегоуборочная техника для дворника Хускварна бензиновый самоходный </t>
  </si>
  <si>
    <t>Итого расходов на ремонт и благоустройство за счет целевых взносов</t>
  </si>
  <si>
    <t xml:space="preserve"> РАСХОДЫ за счёт целевых взносов (один раз в год с 1-го (каждого) участка в собственности по каждой статье расходов), руб. коп.</t>
  </si>
  <si>
    <t>Обслуживание биотуалета охраны</t>
  </si>
  <si>
    <t>руб.коп</t>
  </si>
  <si>
    <t>Вывоз мусора  (3 контейнера)</t>
  </si>
  <si>
    <t>1.13.</t>
  </si>
  <si>
    <t>1.14.</t>
  </si>
  <si>
    <t>Ставка с 1 сотки каждого участка в собственности</t>
  </si>
  <si>
    <t xml:space="preserve">Разовый годовой взнос в Резервный фонд </t>
  </si>
  <si>
    <t>Всего в год по всем участкам в СНТ</t>
  </si>
  <si>
    <t>Уборка территории (2 дворника)</t>
  </si>
  <si>
    <t>Вывоз мусора  (дополнительный  контейнер)</t>
  </si>
  <si>
    <t>Канцелярские расходы (картридж, бумага, папки)</t>
  </si>
  <si>
    <t>Фактические доходы</t>
  </si>
  <si>
    <t>Исполнение сметы ТСН СНТ "Просторы" в период с 01.01.2024 г. по 31.12.2024 г.</t>
  </si>
  <si>
    <t>Фактические расходы</t>
  </si>
  <si>
    <t xml:space="preserve">Членский взносза период с 01.01.2024 по 30.04.2024 включительно </t>
  </si>
  <si>
    <t xml:space="preserve">Членский взнос  за период с 01.05.2024 г. </t>
  </si>
  <si>
    <t>Итого , руб. коп.</t>
  </si>
  <si>
    <t>Дефицит ( -)/Профицит (+)</t>
  </si>
  <si>
    <t>Плановые доходы</t>
  </si>
  <si>
    <t>Плановая сумма расходов, руб. коп</t>
  </si>
  <si>
    <t xml:space="preserve">Уборка механизированная от снега </t>
  </si>
  <si>
    <t>Ппофицит сметы</t>
  </si>
  <si>
    <t xml:space="preserve">Плановые доходы </t>
  </si>
  <si>
    <t>Дефицит (-)/Профицит (+)</t>
  </si>
  <si>
    <t xml:space="preserve">Фактические доходы </t>
  </si>
  <si>
    <t>Плановая сумма расходов в год</t>
  </si>
  <si>
    <t>Фактические расходыв год</t>
  </si>
  <si>
    <t xml:space="preserve">Комментарии </t>
  </si>
  <si>
    <t>Охранные услуги по договору (новый ЧОП)с 01мая 2024 года</t>
  </si>
  <si>
    <t>1.8.</t>
  </si>
  <si>
    <t>Резерв на непредвиденные расходы</t>
  </si>
  <si>
    <t>с учетом резерва на непредвидеенные расходы</t>
  </si>
  <si>
    <t>в связи с увеличением объема ТКО в летние месяцы</t>
  </si>
  <si>
    <t>в связи с дополнительной  обработкой мест общего пользования</t>
  </si>
  <si>
    <t>в связи с ремонтами газонокосилок</t>
  </si>
  <si>
    <t>в связи с увеличением количества раз обработок</t>
  </si>
  <si>
    <t>в связи снеобходимостью аренды оборудования</t>
  </si>
  <si>
    <t>в связи с необходимостью приобретения электронно-цифровых носителей и продления Контура</t>
  </si>
  <si>
    <t>Взносы в Резервный фонд (1 раз в год с каждого земельного участка в собственности)</t>
  </si>
  <si>
    <t>оплата произведена за счет средств ТСН СНТ (собственникам осуществлен возврат - сделан перерасчет)</t>
  </si>
  <si>
    <t>Утверждена решением собрания ТСН СНТ "Просторы"</t>
  </si>
  <si>
    <t>Протокол № ______ от  ___________________________2025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</si>
</sst>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.95"/>
      <color rgb="FF000000"/>
      <name val="Calibri"/>
      <family val="2"/>
      <charset val="204"/>
      <scheme val="minor"/>
    </font>
    <font>
      <sz val="13.95"/>
      <color rgb="FF000000"/>
      <name val="Calibri"/>
      <family val="2"/>
      <charset val="204"/>
      <scheme val="minor"/>
    </font>
    <font>
      <b/>
      <sz val="13.95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3.95"/>
      <color rgb="FFFF0000"/>
      <name val="Arial"/>
      <family val="2"/>
      <charset val="204"/>
    </font>
    <font>
      <sz val="13.95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.95"/>
      <name val="Arial"/>
      <family val="2"/>
      <charset val="204"/>
    </font>
    <font>
      <sz val="14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.95"/>
      <color rgb="FFFF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3.9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4" fontId="4" fillId="0" borderId="13" xfId="0" applyNumberFormat="1" applyFont="1" applyBorder="1" applyAlignment="1">
      <alignment horizontal="right" vertical="center" wrapText="1"/>
    </xf>
    <xf numFmtId="4" fontId="12" fillId="0" borderId="23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horizontal="lef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18" fillId="0" borderId="0" xfId="0" applyFont="1"/>
    <xf numFmtId="0" fontId="17" fillId="0" borderId="0" xfId="0" applyFont="1"/>
    <xf numFmtId="4" fontId="8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0" fontId="1" fillId="0" borderId="0" xfId="0" applyFont="1"/>
    <xf numFmtId="0" fontId="28" fillId="0" borderId="0" xfId="0" applyFont="1"/>
    <xf numFmtId="0" fontId="27" fillId="0" borderId="0" xfId="0" applyFont="1"/>
    <xf numFmtId="4" fontId="0" fillId="0" borderId="0" xfId="0" applyNumberFormat="1"/>
    <xf numFmtId="0" fontId="4" fillId="3" borderId="13" xfId="0" applyFont="1" applyFill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4" fontId="8" fillId="0" borderId="0" xfId="0" applyNumberFormat="1" applyFont="1"/>
    <xf numFmtId="0" fontId="0" fillId="0" borderId="16" xfId="0" applyBorder="1"/>
    <xf numFmtId="0" fontId="8" fillId="4" borderId="0" xfId="0" applyFont="1" applyFill="1" applyAlignment="1">
      <alignment wrapText="1"/>
    </xf>
    <xf numFmtId="4" fontId="8" fillId="4" borderId="0" xfId="0" applyNumberFormat="1" applyFont="1" applyFill="1"/>
    <xf numFmtId="0" fontId="8" fillId="4" borderId="0" xfId="0" applyFont="1" applyFill="1"/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8" fillId="0" borderId="13" xfId="0" applyFont="1" applyBorder="1"/>
    <xf numFmtId="0" fontId="8" fillId="2" borderId="13" xfId="0" applyFont="1" applyFill="1" applyBorder="1" applyAlignment="1">
      <alignment horizontal="center" wrapText="1"/>
    </xf>
    <xf numFmtId="4" fontId="8" fillId="0" borderId="13" xfId="0" applyNumberFormat="1" applyFont="1" applyBorder="1"/>
    <xf numFmtId="0" fontId="0" fillId="4" borderId="0" xfId="0" applyFill="1"/>
    <xf numFmtId="4" fontId="4" fillId="2" borderId="16" xfId="0" applyNumberFormat="1" applyFont="1" applyFill="1" applyBorder="1" applyAlignment="1">
      <alignment horizontal="right" vertical="center" wrapText="1"/>
    </xf>
    <xf numFmtId="4" fontId="11" fillId="2" borderId="16" xfId="0" applyNumberFormat="1" applyFont="1" applyFill="1" applyBorder="1" applyAlignment="1">
      <alignment wrapText="1"/>
    </xf>
    <xf numFmtId="4" fontId="31" fillId="0" borderId="13" xfId="0" applyNumberFormat="1" applyFont="1" applyBorder="1" applyAlignment="1">
      <alignment wrapText="1"/>
    </xf>
    <xf numFmtId="4" fontId="11" fillId="0" borderId="13" xfId="0" applyNumberFormat="1" applyFont="1" applyBorder="1" applyAlignment="1">
      <alignment wrapText="1"/>
    </xf>
    <xf numFmtId="0" fontId="24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right" wrapText="1"/>
    </xf>
    <xf numFmtId="0" fontId="24" fillId="0" borderId="0" xfId="0" applyFont="1" applyAlignment="1">
      <alignment horizontal="right" wrapText="1"/>
    </xf>
    <xf numFmtId="4" fontId="16" fillId="0" borderId="13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0" fontId="9" fillId="2" borderId="13" xfId="0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 applyAlignment="1">
      <alignment wrapText="1"/>
    </xf>
    <xf numFmtId="4" fontId="8" fillId="2" borderId="0" xfId="0" applyNumberFormat="1" applyFont="1" applyFill="1"/>
    <xf numFmtId="0" fontId="8" fillId="2" borderId="0" xfId="0" applyFont="1" applyFill="1"/>
    <xf numFmtId="0" fontId="18" fillId="2" borderId="0" xfId="0" applyFont="1" applyFill="1"/>
    <xf numFmtId="0" fontId="17" fillId="2" borderId="0" xfId="0" applyFont="1" applyFill="1"/>
    <xf numFmtId="4" fontId="32" fillId="0" borderId="0" xfId="0" applyNumberFormat="1" applyFont="1" applyAlignment="1">
      <alignment horizontal="right" wrapText="1"/>
    </xf>
    <xf numFmtId="4" fontId="4" fillId="2" borderId="1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4" fontId="11" fillId="3" borderId="16" xfId="0" applyNumberFormat="1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left" wrapText="1"/>
    </xf>
    <xf numFmtId="4" fontId="12" fillId="0" borderId="23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4" fontId="29" fillId="3" borderId="23" xfId="0" applyNumberFormat="1" applyFont="1" applyFill="1" applyBorder="1" applyAlignment="1">
      <alignment horizontal="right" wrapText="1"/>
    </xf>
    <xf numFmtId="0" fontId="30" fillId="3" borderId="16" xfId="0" applyFont="1" applyFill="1" applyBorder="1" applyAlignment="1">
      <alignment horizontal="right" wrapText="1"/>
    </xf>
    <xf numFmtId="0" fontId="4" fillId="0" borderId="2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11" fillId="0" borderId="13" xfId="0" applyFont="1" applyBorder="1" applyAlignment="1">
      <alignment wrapText="1"/>
    </xf>
    <xf numFmtId="0" fontId="24" fillId="2" borderId="13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4" fontId="11" fillId="0" borderId="14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right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1" fillId="3" borderId="17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4" fillId="0" borderId="21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29" fillId="0" borderId="23" xfId="0" applyFont="1" applyBorder="1" applyAlignment="1">
      <alignment horizontal="center" wrapText="1"/>
    </xf>
    <xf numFmtId="0" fontId="30" fillId="0" borderId="16" xfId="0" applyFont="1" applyBorder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15" xfId="0" applyBorder="1"/>
    <xf numFmtId="4" fontId="9" fillId="2" borderId="14" xfId="0" applyNumberFormat="1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  <xf numFmtId="0" fontId="11" fillId="0" borderId="14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wrapText="1"/>
    </xf>
    <xf numFmtId="0" fontId="9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0" fillId="2" borderId="27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wrapText="1"/>
    </xf>
    <xf numFmtId="0" fontId="21" fillId="2" borderId="26" xfId="0" applyFont="1" applyFill="1" applyBorder="1" applyAlignment="1">
      <alignment horizontal="left" wrapText="1"/>
    </xf>
    <xf numFmtId="0" fontId="20" fillId="2" borderId="17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 wrapText="1"/>
    </xf>
    <xf numFmtId="0" fontId="22" fillId="2" borderId="24" xfId="0" applyFont="1" applyFill="1" applyBorder="1" applyAlignment="1">
      <alignment horizontal="left" wrapText="1"/>
    </xf>
    <xf numFmtId="0" fontId="22" fillId="2" borderId="18" xfId="0" applyFont="1" applyFill="1" applyBorder="1" applyAlignment="1">
      <alignment horizontal="left" wrapText="1"/>
    </xf>
    <xf numFmtId="0" fontId="2" fillId="0" borderId="28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vertical="center" wrapText="1"/>
    </xf>
    <xf numFmtId="0" fontId="0" fillId="3" borderId="15" xfId="0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9" fillId="3" borderId="23" xfId="0" applyFont="1" applyFill="1" applyBorder="1" applyAlignment="1">
      <alignment horizontal="center" wrapText="1"/>
    </xf>
    <xf numFmtId="0" fontId="30" fillId="3" borderId="16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49" fontId="8" fillId="0" borderId="25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right" vertical="center" wrapText="1"/>
    </xf>
    <xf numFmtId="164" fontId="8" fillId="0" borderId="16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18" fillId="0" borderId="0" xfId="0" applyFont="1" applyFill="1"/>
    <xf numFmtId="0" fontId="17" fillId="0" borderId="0" xfId="0" applyFont="1" applyFill="1"/>
    <xf numFmtId="0" fontId="8" fillId="0" borderId="13" xfId="0" applyFont="1" applyFill="1" applyBorder="1" applyAlignment="1">
      <alignment horizont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4" fontId="15" fillId="0" borderId="13" xfId="0" applyNumberFormat="1" applyFont="1" applyFill="1" applyBorder="1" applyAlignment="1">
      <alignment horizontal="right" vertical="center" wrapText="1"/>
    </xf>
    <xf numFmtId="4" fontId="16" fillId="0" borderId="13" xfId="0" applyNumberFormat="1" applyFont="1" applyFill="1" applyBorder="1" applyAlignment="1">
      <alignment vertical="center" wrapText="1"/>
    </xf>
    <xf numFmtId="4" fontId="15" fillId="0" borderId="13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15" fillId="0" borderId="23" xfId="0" applyNumberFormat="1" applyFont="1" applyFill="1" applyBorder="1" applyAlignment="1">
      <alignment horizontal="right" vertical="center" wrapText="1"/>
    </xf>
    <xf numFmtId="4" fontId="31" fillId="0" borderId="1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4" fontId="8" fillId="0" borderId="23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wrapText="1"/>
    </xf>
    <xf numFmtId="0" fontId="11" fillId="0" borderId="40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4" fontId="6" fillId="0" borderId="37" xfId="0" applyNumberFormat="1" applyFont="1" applyFill="1" applyBorder="1" applyAlignment="1">
      <alignment horizontal="center" vertical="center" wrapText="1"/>
    </xf>
    <xf numFmtId="4" fontId="4" fillId="0" borderId="37" xfId="0" applyNumberFormat="1" applyFont="1" applyFill="1" applyBorder="1" applyAlignment="1">
      <alignment horizontal="right" vertical="center" wrapText="1"/>
    </xf>
    <xf numFmtId="4" fontId="4" fillId="0" borderId="39" xfId="0" applyNumberFormat="1" applyFont="1" applyFill="1" applyBorder="1" applyAlignment="1">
      <alignment horizontal="center" vertical="center" wrapText="1"/>
    </xf>
    <xf numFmtId="4" fontId="11" fillId="0" borderId="41" xfId="0" applyNumberFormat="1" applyFont="1" applyFill="1" applyBorder="1" applyAlignment="1">
      <alignment horizontal="center" vertical="center" wrapText="1"/>
    </xf>
    <xf numFmtId="0" fontId="0" fillId="0" borderId="35" xfId="0" applyFill="1" applyBorder="1"/>
    <xf numFmtId="0" fontId="8" fillId="0" borderId="35" xfId="0" applyFont="1" applyFill="1" applyBorder="1" applyAlignment="1">
      <alignment wrapText="1"/>
    </xf>
    <xf numFmtId="0" fontId="8" fillId="0" borderId="35" xfId="0" applyFont="1" applyFill="1" applyBorder="1"/>
    <xf numFmtId="0" fontId="18" fillId="0" borderId="35" xfId="0" applyFont="1" applyFill="1" applyBorder="1"/>
    <xf numFmtId="0" fontId="17" fillId="0" borderId="35" xfId="0" applyFont="1" applyFill="1" applyBorder="1"/>
    <xf numFmtId="0" fontId="8" fillId="0" borderId="38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4" fontId="12" fillId="0" borderId="13" xfId="0" applyNumberFormat="1" applyFont="1" applyFill="1" applyBorder="1" applyAlignment="1">
      <alignment horizontal="right" vertical="center" wrapText="1"/>
    </xf>
    <xf numFmtId="4" fontId="7" fillId="0" borderId="13" xfId="0" applyNumberFormat="1" applyFont="1" applyFill="1" applyBorder="1" applyAlignment="1">
      <alignment horizontal="right" vertical="center" wrapText="1"/>
    </xf>
    <xf numFmtId="16" fontId="8" fillId="0" borderId="23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4" fontId="12" fillId="0" borderId="23" xfId="0" applyNumberFormat="1" applyFont="1" applyFill="1" applyBorder="1" applyAlignment="1">
      <alignment horizontal="right" vertical="center" wrapText="1"/>
    </xf>
    <xf numFmtId="164" fontId="8" fillId="0" borderId="33" xfId="0" applyNumberFormat="1" applyFont="1" applyFill="1" applyBorder="1" applyAlignment="1">
      <alignment horizontal="right" vertical="center" wrapText="1"/>
    </xf>
    <xf numFmtId="4" fontId="31" fillId="0" borderId="23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4" fontId="9" fillId="0" borderId="37" xfId="0" applyNumberFormat="1" applyFont="1" applyFill="1" applyBorder="1" applyAlignment="1">
      <alignment horizontal="right" vertical="center" wrapText="1"/>
    </xf>
    <xf numFmtId="4" fontId="8" fillId="0" borderId="38" xfId="0" applyNumberFormat="1" applyFont="1" applyFill="1" applyBorder="1" applyAlignment="1">
      <alignment horizont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4" fontId="7" fillId="0" borderId="14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3" fontId="0" fillId="0" borderId="0" xfId="0" applyNumberFormat="1" applyFill="1"/>
    <xf numFmtId="0" fontId="8" fillId="0" borderId="13" xfId="0" applyFont="1" applyFill="1" applyBorder="1" applyAlignment="1">
      <alignment horizontal="left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33" fillId="0" borderId="13" xfId="0" applyFont="1" applyFill="1" applyBorder="1" applyAlignment="1">
      <alignment horizontal="left" vertical="center" wrapText="1"/>
    </xf>
    <xf numFmtId="4" fontId="15" fillId="0" borderId="14" xfId="0" applyNumberFormat="1" applyFont="1" applyFill="1" applyBorder="1" applyAlignment="1">
      <alignment horizontal="right" vertical="center" wrapText="1"/>
    </xf>
    <xf numFmtId="4" fontId="34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/>
    </xf>
    <xf numFmtId="4" fontId="8" fillId="0" borderId="23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4" fontId="7" fillId="0" borderId="21" xfId="0" applyNumberFormat="1" applyFont="1" applyFill="1" applyBorder="1" applyAlignment="1">
      <alignment horizontal="right" vertical="center" wrapText="1"/>
    </xf>
    <xf numFmtId="4" fontId="4" fillId="0" borderId="3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11DDA-C078-4390-87FC-5B4A60001CAF}">
  <sheetPr>
    <pageSetUpPr fitToPage="1"/>
  </sheetPr>
  <dimension ref="A1:Z60"/>
  <sheetViews>
    <sheetView tabSelected="1" view="pageBreakPreview" zoomScale="65" zoomScaleNormal="70" zoomScaleSheetLayoutView="65" workbookViewId="0">
      <selection activeCell="X8" sqref="X8"/>
    </sheetView>
  </sheetViews>
  <sheetFormatPr defaultRowHeight="42.6" customHeight="1" x14ac:dyDescent="0.35"/>
  <cols>
    <col min="3" max="3" width="49.88671875" customWidth="1"/>
    <col min="4" max="4" width="27.77734375" hidden="1" customWidth="1"/>
    <col min="5" max="5" width="31.21875" hidden="1" customWidth="1"/>
    <col min="6" max="6" width="27.77734375" customWidth="1"/>
    <col min="7" max="7" width="23.5546875" customWidth="1"/>
    <col min="8" max="8" width="24.33203125" customWidth="1"/>
    <col min="9" max="9" width="52.21875" style="9" customWidth="1"/>
    <col min="10" max="10" width="14.109375" hidden="1" customWidth="1"/>
    <col min="11" max="12" width="11.109375" hidden="1" customWidth="1"/>
    <col min="13" max="13" width="9.77734375" hidden="1" customWidth="1"/>
    <col min="14" max="14" width="3.44140625" hidden="1" customWidth="1"/>
    <col min="15" max="15" width="3.5546875" style="9" hidden="1" customWidth="1"/>
    <col min="16" max="16" width="18.33203125" style="9" hidden="1" customWidth="1"/>
    <col min="17" max="17" width="14.21875" style="9" hidden="1" customWidth="1"/>
    <col min="18" max="18" width="21.77734375" style="10" hidden="1" customWidth="1"/>
    <col min="19" max="19" width="16.44140625" style="10" hidden="1" customWidth="1"/>
    <col min="20" max="20" width="12.109375" style="10" hidden="1" customWidth="1"/>
    <col min="21" max="21" width="0" style="11" hidden="1" customWidth="1"/>
    <col min="22" max="23" width="0" style="12" hidden="1" customWidth="1"/>
    <col min="24" max="24" width="49.21875" style="52" customWidth="1"/>
    <col min="25" max="25" width="19.6640625" customWidth="1"/>
    <col min="26" max="26" width="24.77734375" customWidth="1"/>
  </cols>
  <sheetData>
    <row r="1" spans="1:24" ht="28.8" customHeight="1" x14ac:dyDescent="0.3">
      <c r="I1" s="174" t="s">
        <v>112</v>
      </c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 ht="27.6" customHeight="1" x14ac:dyDescent="0.3">
      <c r="I2" s="174" t="s">
        <v>113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4" ht="21.6" customHeight="1" x14ac:dyDescent="0.35">
      <c r="R3" s="43"/>
      <c r="S3" s="43"/>
    </row>
    <row r="4" spans="1:24" ht="34.200000000000003" customHeight="1" x14ac:dyDescent="0.4">
      <c r="A4" s="147" t="s">
        <v>84</v>
      </c>
      <c r="B4" s="148"/>
      <c r="C4" s="148"/>
      <c r="D4" s="148"/>
      <c r="E4" s="148"/>
      <c r="F4" s="148"/>
      <c r="G4" s="148"/>
      <c r="H4" s="148"/>
      <c r="I4" s="148"/>
      <c r="R4" s="43"/>
      <c r="S4" s="43">
        <v>4</v>
      </c>
    </row>
    <row r="5" spans="1:24" s="14" customFormat="1" ht="42.6" customHeight="1" x14ac:dyDescent="0.35">
      <c r="A5" s="149" t="s">
        <v>0</v>
      </c>
      <c r="B5" s="150"/>
      <c r="C5" s="150"/>
      <c r="D5" s="150"/>
      <c r="E5" s="151"/>
      <c r="F5" s="151"/>
      <c r="G5" s="151"/>
      <c r="H5" s="151"/>
      <c r="I5" s="152"/>
      <c r="O5" s="15"/>
      <c r="P5" s="15"/>
      <c r="Q5" s="15"/>
      <c r="R5" s="43"/>
      <c r="S5" s="44">
        <v>8</v>
      </c>
      <c r="T5" s="16"/>
      <c r="U5" s="17"/>
      <c r="V5" s="18"/>
      <c r="W5" s="18"/>
      <c r="X5" s="52"/>
    </row>
    <row r="6" spans="1:24" ht="42.6" customHeight="1" x14ac:dyDescent="0.35">
      <c r="A6" s="158" t="s">
        <v>44</v>
      </c>
      <c r="B6" s="172" t="s">
        <v>48</v>
      </c>
      <c r="C6" s="173"/>
      <c r="D6" s="20"/>
      <c r="E6" s="21"/>
      <c r="F6" s="90" t="s">
        <v>47</v>
      </c>
      <c r="G6" s="166" t="s">
        <v>88</v>
      </c>
      <c r="H6" s="167"/>
      <c r="I6" s="170" t="s">
        <v>89</v>
      </c>
      <c r="R6" s="10" t="s">
        <v>62</v>
      </c>
      <c r="S6" s="45">
        <f>G45</f>
        <v>5755236</v>
      </c>
    </row>
    <row r="7" spans="1:24" ht="42.6" customHeight="1" x14ac:dyDescent="0.35">
      <c r="A7" s="159"/>
      <c r="B7" s="173"/>
      <c r="C7" s="173"/>
      <c r="D7" s="20"/>
      <c r="E7" s="21"/>
      <c r="F7" s="91"/>
      <c r="G7" s="23" t="s">
        <v>90</v>
      </c>
      <c r="H7" s="23" t="s">
        <v>83</v>
      </c>
      <c r="I7" s="171"/>
      <c r="R7" s="10" t="s">
        <v>63</v>
      </c>
      <c r="S7" s="45" t="e">
        <f>#REF!</f>
        <v>#REF!</v>
      </c>
    </row>
    <row r="8" spans="1:24" ht="61.2" customHeight="1" x14ac:dyDescent="0.35">
      <c r="A8" s="6" t="s">
        <v>1</v>
      </c>
      <c r="B8" s="164" t="s">
        <v>86</v>
      </c>
      <c r="C8" s="165"/>
      <c r="D8" s="7">
        <v>5000</v>
      </c>
      <c r="E8" s="8">
        <f>D8*66*12</f>
        <v>3960000</v>
      </c>
      <c r="F8" s="2">
        <v>6500</v>
      </c>
      <c r="G8" s="86">
        <v>5810767.2800000003</v>
      </c>
      <c r="H8" s="86">
        <v>5363474.1500000004</v>
      </c>
      <c r="I8" s="88">
        <f>H8-G8</f>
        <v>-447293.12999999989</v>
      </c>
      <c r="O8" s="13">
        <f>G45/64/12</f>
        <v>7493.796875</v>
      </c>
      <c r="R8" s="10" t="s">
        <v>67</v>
      </c>
      <c r="S8" s="45" t="e">
        <f>S7-S6</f>
        <v>#REF!</v>
      </c>
    </row>
    <row r="9" spans="1:24" ht="51.6" customHeight="1" x14ac:dyDescent="0.35">
      <c r="A9" s="19">
        <v>2</v>
      </c>
      <c r="B9" s="168" t="s">
        <v>87</v>
      </c>
      <c r="C9" s="169"/>
      <c r="D9" s="24"/>
      <c r="E9" s="24"/>
      <c r="F9" s="42">
        <v>8657.31</v>
      </c>
      <c r="G9" s="87"/>
      <c r="H9" s="87"/>
      <c r="I9" s="89"/>
      <c r="O9" s="13">
        <f>H8-G45</f>
        <v>-391761.84999999963</v>
      </c>
    </row>
    <row r="10" spans="1:24" s="29" customFormat="1" ht="22.8" customHeight="1" x14ac:dyDescent="0.3">
      <c r="A10" s="163"/>
      <c r="B10" s="163"/>
      <c r="C10" s="163"/>
      <c r="D10" s="25"/>
      <c r="E10" s="25"/>
      <c r="F10" s="26"/>
      <c r="G10" s="27"/>
      <c r="H10" s="27"/>
      <c r="I10" s="28"/>
      <c r="O10" s="28"/>
      <c r="P10" s="28"/>
      <c r="Q10" s="28"/>
      <c r="R10" s="30"/>
      <c r="S10" s="30"/>
      <c r="T10" s="30"/>
      <c r="U10" s="30"/>
      <c r="V10" s="31"/>
      <c r="W10" s="31"/>
      <c r="X10" s="78"/>
    </row>
    <row r="11" spans="1:24" ht="42.6" customHeight="1" x14ac:dyDescent="0.4">
      <c r="A11" s="153" t="s">
        <v>56</v>
      </c>
      <c r="B11" s="154"/>
      <c r="C11" s="154"/>
      <c r="D11" s="154"/>
      <c r="E11" s="155"/>
      <c r="F11" s="156"/>
      <c r="G11" s="156"/>
      <c r="H11" s="156"/>
      <c r="I11" s="157"/>
      <c r="X11" s="144"/>
    </row>
    <row r="12" spans="1:24" ht="45.6" customHeight="1" x14ac:dyDescent="0.35">
      <c r="A12" s="39" t="s">
        <v>1</v>
      </c>
      <c r="B12" s="120" t="s">
        <v>3</v>
      </c>
      <c r="C12" s="160"/>
      <c r="D12" s="160"/>
      <c r="E12" s="160"/>
      <c r="F12" s="161"/>
      <c r="G12" s="161"/>
      <c r="H12" s="161"/>
      <c r="I12" s="162"/>
      <c r="X12" s="110"/>
    </row>
    <row r="13" spans="1:24" ht="58.2" customHeight="1" x14ac:dyDescent="0.35">
      <c r="A13" s="114" t="s">
        <v>45</v>
      </c>
      <c r="B13" s="115"/>
      <c r="C13" s="116"/>
      <c r="D13" s="125" t="s">
        <v>17</v>
      </c>
      <c r="E13" s="126"/>
      <c r="F13" s="92" t="s">
        <v>91</v>
      </c>
      <c r="G13" s="93"/>
      <c r="H13" s="90" t="s">
        <v>85</v>
      </c>
      <c r="I13" s="123" t="s">
        <v>89</v>
      </c>
    </row>
    <row r="14" spans="1:24" ht="60" customHeight="1" x14ac:dyDescent="0.35">
      <c r="A14" s="117"/>
      <c r="B14" s="118"/>
      <c r="C14" s="119"/>
      <c r="D14" s="32" t="s">
        <v>16</v>
      </c>
      <c r="E14" s="32" t="s">
        <v>5</v>
      </c>
      <c r="F14" s="32" t="s">
        <v>29</v>
      </c>
      <c r="G14" s="32" t="s">
        <v>55</v>
      </c>
      <c r="H14" s="91"/>
      <c r="I14" s="124"/>
      <c r="O14" s="109"/>
      <c r="P14" s="110"/>
      <c r="X14" s="145" t="s">
        <v>99</v>
      </c>
    </row>
    <row r="15" spans="1:24" ht="33" customHeight="1" x14ac:dyDescent="0.35">
      <c r="A15" s="120" t="s">
        <v>36</v>
      </c>
      <c r="B15" s="121"/>
      <c r="C15" s="121"/>
      <c r="D15" s="121"/>
      <c r="E15" s="121"/>
      <c r="F15" s="121"/>
      <c r="G15" s="121"/>
      <c r="H15" s="121"/>
      <c r="I15" s="122"/>
      <c r="J15" s="33" t="s">
        <v>34</v>
      </c>
      <c r="K15" s="33" t="s">
        <v>31</v>
      </c>
      <c r="L15" s="33" t="s">
        <v>32</v>
      </c>
      <c r="M15" s="33" t="s">
        <v>33</v>
      </c>
      <c r="N15" s="33" t="s">
        <v>30</v>
      </c>
      <c r="X15" s="146"/>
    </row>
    <row r="16" spans="1:24" ht="52.8" customHeight="1" x14ac:dyDescent="0.35">
      <c r="A16" s="243" t="s">
        <v>2</v>
      </c>
      <c r="B16" s="244" t="s">
        <v>92</v>
      </c>
      <c r="C16" s="245"/>
      <c r="D16" s="246">
        <v>0</v>
      </c>
      <c r="E16" s="246">
        <v>181000</v>
      </c>
      <c r="F16" s="231">
        <v>160000</v>
      </c>
      <c r="G16" s="231">
        <f>F16*6</f>
        <v>960000</v>
      </c>
      <c r="H16" s="183">
        <v>134894</v>
      </c>
      <c r="I16" s="184">
        <f t="shared" ref="I16:I29" si="0">G16-H16</f>
        <v>825106</v>
      </c>
      <c r="J16" s="185"/>
      <c r="K16" s="247">
        <v>2</v>
      </c>
      <c r="L16" s="247">
        <v>2</v>
      </c>
      <c r="M16" s="247">
        <v>16000</v>
      </c>
      <c r="N16" s="247">
        <f>K16*L16*M16</f>
        <v>64000</v>
      </c>
      <c r="O16" s="186"/>
      <c r="P16" s="248"/>
      <c r="Q16" s="186"/>
      <c r="R16" s="187"/>
      <c r="S16" s="187"/>
      <c r="T16" s="187"/>
      <c r="U16" s="188"/>
      <c r="V16" s="189"/>
      <c r="W16" s="189"/>
      <c r="X16" s="190"/>
    </row>
    <row r="17" spans="1:26" ht="40.799999999999997" customHeight="1" x14ac:dyDescent="0.35">
      <c r="A17" s="243" t="s">
        <v>4</v>
      </c>
      <c r="B17" s="244" t="s">
        <v>80</v>
      </c>
      <c r="C17" s="234"/>
      <c r="D17" s="246">
        <v>28000</v>
      </c>
      <c r="E17" s="246">
        <f>D17*3</f>
        <v>84000</v>
      </c>
      <c r="F17" s="246">
        <v>42400</v>
      </c>
      <c r="G17" s="231">
        <v>508800</v>
      </c>
      <c r="H17" s="183">
        <v>284800</v>
      </c>
      <c r="I17" s="184">
        <f t="shared" si="0"/>
        <v>224000</v>
      </c>
      <c r="J17" s="185"/>
      <c r="K17" s="249"/>
      <c r="L17" s="249"/>
      <c r="M17" s="249"/>
      <c r="N17" s="249"/>
      <c r="O17" s="186"/>
      <c r="P17" s="186"/>
      <c r="Q17" s="186"/>
      <c r="R17" s="187"/>
      <c r="S17" s="187"/>
      <c r="T17" s="187"/>
      <c r="U17" s="188"/>
      <c r="V17" s="189"/>
      <c r="W17" s="189"/>
      <c r="X17" s="190"/>
    </row>
    <row r="18" spans="1:26" s="57" customFormat="1" ht="54" customHeight="1" x14ac:dyDescent="0.35">
      <c r="A18" s="227" t="s">
        <v>6</v>
      </c>
      <c r="B18" s="250" t="s">
        <v>74</v>
      </c>
      <c r="C18" s="250"/>
      <c r="D18" s="246">
        <v>17741.23</v>
      </c>
      <c r="E18" s="246">
        <f>D18*3</f>
        <v>53223.69</v>
      </c>
      <c r="F18" s="230">
        <v>18700</v>
      </c>
      <c r="G18" s="231">
        <v>224400</v>
      </c>
      <c r="H18" s="183">
        <v>247844.55</v>
      </c>
      <c r="I18" s="209">
        <f t="shared" si="0"/>
        <v>-23444.549999999988</v>
      </c>
      <c r="J18" s="185"/>
      <c r="K18" s="185"/>
      <c r="L18" s="185"/>
      <c r="M18" s="185"/>
      <c r="N18" s="185"/>
      <c r="O18" s="186"/>
      <c r="P18" s="186"/>
      <c r="Q18" s="186"/>
      <c r="R18" s="187"/>
      <c r="S18" s="187"/>
      <c r="T18" s="187"/>
      <c r="U18" s="188"/>
      <c r="V18" s="189"/>
      <c r="W18" s="189"/>
      <c r="X18" s="190" t="s">
        <v>104</v>
      </c>
      <c r="Y18"/>
      <c r="Z18"/>
    </row>
    <row r="19" spans="1:26" s="57" customFormat="1" ht="54" customHeight="1" x14ac:dyDescent="0.35">
      <c r="A19" s="227" t="s">
        <v>7</v>
      </c>
      <c r="B19" s="228" t="s">
        <v>81</v>
      </c>
      <c r="C19" s="229"/>
      <c r="D19" s="246"/>
      <c r="E19" s="246"/>
      <c r="F19" s="230">
        <v>6300</v>
      </c>
      <c r="G19" s="231">
        <f>F19*6</f>
        <v>37800</v>
      </c>
      <c r="H19" s="183">
        <v>0</v>
      </c>
      <c r="I19" s="251">
        <f t="shared" si="0"/>
        <v>37800</v>
      </c>
      <c r="J19" s="185"/>
      <c r="K19" s="185"/>
      <c r="L19" s="185"/>
      <c r="M19" s="185"/>
      <c r="N19" s="185"/>
      <c r="O19" s="186"/>
      <c r="P19" s="186"/>
      <c r="Q19" s="186"/>
      <c r="R19" s="187"/>
      <c r="S19" s="187"/>
      <c r="T19" s="187"/>
      <c r="U19" s="188"/>
      <c r="V19" s="189"/>
      <c r="W19" s="189"/>
      <c r="X19" s="190"/>
      <c r="Y19"/>
      <c r="Z19"/>
    </row>
    <row r="20" spans="1:26" ht="41.4" customHeight="1" x14ac:dyDescent="0.35">
      <c r="A20" s="252" t="s">
        <v>9</v>
      </c>
      <c r="B20" s="253" t="s">
        <v>8</v>
      </c>
      <c r="C20" s="254"/>
      <c r="D20" s="255"/>
      <c r="E20" s="255">
        <v>45000</v>
      </c>
      <c r="F20" s="202">
        <v>0</v>
      </c>
      <c r="G20" s="202">
        <v>34500</v>
      </c>
      <c r="H20" s="256">
        <v>37200</v>
      </c>
      <c r="I20" s="209">
        <f t="shared" si="0"/>
        <v>-2700</v>
      </c>
      <c r="J20" s="185"/>
      <c r="K20" s="185"/>
      <c r="L20" s="185"/>
      <c r="M20" s="185"/>
      <c r="N20" s="185"/>
      <c r="O20" s="186"/>
      <c r="P20" s="186"/>
      <c r="Q20" s="186"/>
      <c r="R20" s="187"/>
      <c r="S20" s="187"/>
      <c r="T20" s="187"/>
      <c r="U20" s="188"/>
      <c r="V20" s="189"/>
      <c r="W20" s="189"/>
      <c r="X20" s="190" t="s">
        <v>105</v>
      </c>
    </row>
    <row r="21" spans="1:26" ht="42.6" customHeight="1" x14ac:dyDescent="0.35">
      <c r="A21" s="227" t="s">
        <v>10</v>
      </c>
      <c r="B21" s="250" t="s">
        <v>35</v>
      </c>
      <c r="C21" s="257"/>
      <c r="D21" s="246">
        <v>0</v>
      </c>
      <c r="E21" s="246"/>
      <c r="F21" s="230"/>
      <c r="G21" s="230">
        <v>30000</v>
      </c>
      <c r="H21" s="183">
        <v>0</v>
      </c>
      <c r="I21" s="184">
        <f t="shared" si="0"/>
        <v>30000</v>
      </c>
      <c r="J21" s="185"/>
      <c r="K21" s="185"/>
      <c r="L21" s="185"/>
      <c r="M21" s="185"/>
      <c r="N21" s="185"/>
      <c r="O21" s="186"/>
      <c r="P21" s="186"/>
      <c r="Q21" s="186"/>
      <c r="R21" s="187"/>
      <c r="S21" s="187"/>
      <c r="T21" s="187"/>
      <c r="U21" s="188"/>
      <c r="V21" s="189"/>
      <c r="W21" s="189"/>
      <c r="X21" s="190"/>
    </row>
    <row r="22" spans="1:26" ht="42.6" customHeight="1" x14ac:dyDescent="0.35">
      <c r="A22" s="227" t="s">
        <v>20</v>
      </c>
      <c r="B22" s="228" t="s">
        <v>64</v>
      </c>
      <c r="C22" s="229"/>
      <c r="D22" s="246"/>
      <c r="E22" s="246"/>
      <c r="F22" s="230">
        <v>150000</v>
      </c>
      <c r="G22" s="230">
        <v>300000</v>
      </c>
      <c r="H22" s="183">
        <f>1180650</f>
        <v>1180650</v>
      </c>
      <c r="I22" s="258">
        <f>G22+G23-H22-H23</f>
        <v>879350</v>
      </c>
      <c r="J22" s="185"/>
      <c r="K22" s="185"/>
      <c r="L22" s="185"/>
      <c r="M22" s="185"/>
      <c r="N22" s="185"/>
      <c r="O22" s="186"/>
      <c r="P22" s="186"/>
      <c r="Q22" s="186"/>
      <c r="R22" s="187"/>
      <c r="S22" s="187"/>
      <c r="T22" s="187"/>
      <c r="U22" s="188"/>
      <c r="V22" s="189"/>
      <c r="W22" s="189"/>
      <c r="X22" s="190"/>
    </row>
    <row r="23" spans="1:26" ht="42.6" customHeight="1" x14ac:dyDescent="0.35">
      <c r="A23" s="227" t="s">
        <v>101</v>
      </c>
      <c r="B23" s="228" t="s">
        <v>100</v>
      </c>
      <c r="C23" s="259"/>
      <c r="D23" s="229"/>
      <c r="E23" s="246"/>
      <c r="F23" s="230">
        <v>220000</v>
      </c>
      <c r="G23" s="230">
        <v>1760000</v>
      </c>
      <c r="H23" s="183">
        <v>0</v>
      </c>
      <c r="I23" s="260"/>
      <c r="J23" s="185"/>
      <c r="K23" s="185"/>
      <c r="L23" s="185"/>
      <c r="M23" s="185"/>
      <c r="N23" s="185"/>
      <c r="O23" s="186"/>
      <c r="P23" s="186"/>
      <c r="Q23" s="186"/>
      <c r="R23" s="187"/>
      <c r="S23" s="187"/>
      <c r="T23" s="187"/>
      <c r="U23" s="188"/>
      <c r="V23" s="189"/>
      <c r="W23" s="189"/>
      <c r="X23" s="190"/>
    </row>
    <row r="24" spans="1:26" ht="52.2" customHeight="1" x14ac:dyDescent="0.35">
      <c r="A24" s="227" t="s">
        <v>51</v>
      </c>
      <c r="B24" s="228" t="s">
        <v>59</v>
      </c>
      <c r="C24" s="229"/>
      <c r="D24" s="246"/>
      <c r="E24" s="246"/>
      <c r="F24" s="230"/>
      <c r="G24" s="230">
        <v>186700</v>
      </c>
      <c r="H24" s="183">
        <v>0</v>
      </c>
      <c r="I24" s="184">
        <f t="shared" si="0"/>
        <v>186700</v>
      </c>
      <c r="J24" s="185"/>
      <c r="K24" s="185"/>
      <c r="L24" s="185"/>
      <c r="M24" s="185"/>
      <c r="N24" s="185"/>
      <c r="O24" s="186"/>
      <c r="P24" s="186"/>
      <c r="Q24" s="186"/>
      <c r="R24" s="187"/>
      <c r="S24" s="187"/>
      <c r="T24" s="187"/>
      <c r="U24" s="188"/>
      <c r="V24" s="189"/>
      <c r="W24" s="189"/>
      <c r="X24" s="190"/>
    </row>
    <row r="25" spans="1:26" ht="58.2" customHeight="1" x14ac:dyDescent="0.35">
      <c r="A25" s="227" t="s">
        <v>52</v>
      </c>
      <c r="B25" s="228" t="s">
        <v>37</v>
      </c>
      <c r="C25" s="229"/>
      <c r="D25" s="246"/>
      <c r="E25" s="246"/>
      <c r="F25" s="230">
        <v>2543</v>
      </c>
      <c r="G25" s="231">
        <v>30516</v>
      </c>
      <c r="H25" s="261">
        <v>17801</v>
      </c>
      <c r="I25" s="184">
        <f t="shared" si="0"/>
        <v>12715</v>
      </c>
      <c r="J25" s="185"/>
      <c r="K25" s="185"/>
      <c r="L25" s="185"/>
      <c r="M25" s="185"/>
      <c r="N25" s="185"/>
      <c r="O25" s="186"/>
      <c r="P25" s="186"/>
      <c r="Q25" s="186"/>
      <c r="R25" s="187"/>
      <c r="S25" s="187"/>
      <c r="T25" s="187"/>
      <c r="U25" s="188"/>
      <c r="V25" s="189"/>
      <c r="W25" s="189"/>
      <c r="X25" s="190"/>
    </row>
    <row r="26" spans="1:26" ht="40.799999999999997" customHeight="1" x14ac:dyDescent="0.35">
      <c r="A26" s="227" t="s">
        <v>53</v>
      </c>
      <c r="B26" s="228" t="s">
        <v>65</v>
      </c>
      <c r="C26" s="229"/>
      <c r="D26" s="246"/>
      <c r="E26" s="246"/>
      <c r="F26" s="230"/>
      <c r="G26" s="230">
        <v>60000</v>
      </c>
      <c r="H26" s="261">
        <v>15356.52</v>
      </c>
      <c r="I26" s="184">
        <f t="shared" si="0"/>
        <v>44643.479999999996</v>
      </c>
      <c r="J26" s="185"/>
      <c r="K26" s="185"/>
      <c r="L26" s="185"/>
      <c r="M26" s="185"/>
      <c r="N26" s="185"/>
      <c r="O26" s="186"/>
      <c r="P26" s="186"/>
      <c r="Q26" s="186"/>
      <c r="R26" s="187"/>
      <c r="S26" s="187"/>
      <c r="T26" s="187"/>
      <c r="U26" s="188"/>
      <c r="V26" s="189"/>
      <c r="W26" s="189"/>
      <c r="X26" s="190"/>
    </row>
    <row r="27" spans="1:26" ht="40.799999999999997" customHeight="1" x14ac:dyDescent="0.35">
      <c r="A27" s="227" t="s">
        <v>54</v>
      </c>
      <c r="B27" s="228" t="s">
        <v>66</v>
      </c>
      <c r="C27" s="229"/>
      <c r="D27" s="246"/>
      <c r="E27" s="246"/>
      <c r="F27" s="230">
        <v>15000</v>
      </c>
      <c r="G27" s="230">
        <f>F27*12</f>
        <v>180000</v>
      </c>
      <c r="H27" s="261">
        <v>16000</v>
      </c>
      <c r="I27" s="184">
        <f t="shared" si="0"/>
        <v>164000</v>
      </c>
      <c r="J27" s="185"/>
      <c r="K27" s="185"/>
      <c r="L27" s="185"/>
      <c r="M27" s="185"/>
      <c r="N27" s="185"/>
      <c r="O27" s="186"/>
      <c r="P27" s="186"/>
      <c r="Q27" s="186"/>
      <c r="R27" s="187"/>
      <c r="S27" s="187"/>
      <c r="T27" s="187"/>
      <c r="U27" s="188"/>
      <c r="V27" s="189"/>
      <c r="W27" s="189"/>
      <c r="X27" s="190"/>
    </row>
    <row r="28" spans="1:26" ht="40.799999999999997" customHeight="1" x14ac:dyDescent="0.35">
      <c r="A28" s="227" t="s">
        <v>75</v>
      </c>
      <c r="B28" s="228" t="s">
        <v>60</v>
      </c>
      <c r="C28" s="229"/>
      <c r="D28" s="246"/>
      <c r="E28" s="246"/>
      <c r="F28" s="230"/>
      <c r="G28" s="230">
        <v>28000</v>
      </c>
      <c r="H28" s="183">
        <v>24732</v>
      </c>
      <c r="I28" s="184">
        <f t="shared" si="0"/>
        <v>3268</v>
      </c>
      <c r="J28" s="185"/>
      <c r="K28" s="185"/>
      <c r="L28" s="185"/>
      <c r="M28" s="185"/>
      <c r="N28" s="185"/>
      <c r="O28" s="186"/>
      <c r="P28" s="186"/>
      <c r="Q28" s="186"/>
      <c r="R28" s="187"/>
      <c r="S28" s="187"/>
      <c r="T28" s="187"/>
      <c r="U28" s="188"/>
      <c r="V28" s="189"/>
      <c r="W28" s="189"/>
      <c r="X28" s="190"/>
    </row>
    <row r="29" spans="1:26" ht="45" customHeight="1" thickBot="1" x14ac:dyDescent="0.4">
      <c r="A29" s="262" t="s">
        <v>76</v>
      </c>
      <c r="B29" s="263" t="s">
        <v>42</v>
      </c>
      <c r="C29" s="234"/>
      <c r="D29" s="264"/>
      <c r="E29" s="264"/>
      <c r="F29" s="235"/>
      <c r="G29" s="235">
        <v>30000</v>
      </c>
      <c r="H29" s="212">
        <f>10111.5+22000</f>
        <v>32111.5</v>
      </c>
      <c r="I29" s="237">
        <f t="shared" si="0"/>
        <v>-2111.5</v>
      </c>
      <c r="J29" s="185"/>
      <c r="K29" s="185"/>
      <c r="L29" s="185"/>
      <c r="M29" s="185"/>
      <c r="N29" s="185"/>
      <c r="O29" s="186"/>
      <c r="P29" s="186"/>
      <c r="Q29" s="186"/>
      <c r="R29" s="187"/>
      <c r="S29" s="187"/>
      <c r="T29" s="187"/>
      <c r="U29" s="188"/>
      <c r="V29" s="189"/>
      <c r="W29" s="189"/>
      <c r="X29" s="214" t="s">
        <v>106</v>
      </c>
    </row>
    <row r="30" spans="1:26" ht="30.6" customHeight="1" thickBot="1" x14ac:dyDescent="0.4">
      <c r="A30" s="238" t="s">
        <v>18</v>
      </c>
      <c r="B30" s="239"/>
      <c r="C30" s="240"/>
      <c r="D30" s="265">
        <f t="shared" ref="D30:I30" si="1">SUM(D16:D29)</f>
        <v>45741.229999999996</v>
      </c>
      <c r="E30" s="265">
        <f t="shared" si="1"/>
        <v>363223.69</v>
      </c>
      <c r="F30" s="241">
        <f>SUM(F16:F29)</f>
        <v>614943</v>
      </c>
      <c r="G30" s="241">
        <f t="shared" si="1"/>
        <v>4370716</v>
      </c>
      <c r="H30" s="219">
        <f>SUM(H16:H29)</f>
        <v>1991389.57</v>
      </c>
      <c r="I30" s="220">
        <f t="shared" si="1"/>
        <v>2379326.4300000002</v>
      </c>
      <c r="J30" s="221"/>
      <c r="K30" s="221"/>
      <c r="L30" s="221"/>
      <c r="M30" s="221"/>
      <c r="N30" s="221"/>
      <c r="O30" s="222"/>
      <c r="P30" s="222"/>
      <c r="Q30" s="222"/>
      <c r="R30" s="223"/>
      <c r="S30" s="223"/>
      <c r="T30" s="223"/>
      <c r="U30" s="224"/>
      <c r="V30" s="225"/>
      <c r="W30" s="225"/>
      <c r="X30" s="242"/>
    </row>
    <row r="31" spans="1:26" ht="42.6" customHeight="1" x14ac:dyDescent="0.35">
      <c r="A31" s="111" t="s">
        <v>11</v>
      </c>
      <c r="B31" s="112"/>
      <c r="C31" s="112"/>
      <c r="D31" s="112"/>
      <c r="E31" s="112"/>
      <c r="F31" s="112"/>
      <c r="G31" s="112"/>
      <c r="H31" s="112"/>
      <c r="I31" s="113"/>
      <c r="X31" s="84"/>
    </row>
    <row r="32" spans="1:26" ht="57" customHeight="1" x14ac:dyDescent="0.35">
      <c r="A32" s="227" t="s">
        <v>12</v>
      </c>
      <c r="B32" s="228" t="s">
        <v>72</v>
      </c>
      <c r="C32" s="229"/>
      <c r="D32" s="230"/>
      <c r="E32" s="230"/>
      <c r="F32" s="230">
        <v>1500</v>
      </c>
      <c r="G32" s="231">
        <f>F32*10</f>
        <v>15000</v>
      </c>
      <c r="H32" s="183">
        <v>30000</v>
      </c>
      <c r="I32" s="209">
        <f>G32-H32</f>
        <v>-15000</v>
      </c>
      <c r="J32" s="185"/>
      <c r="K32" s="185"/>
      <c r="L32" s="185"/>
      <c r="M32" s="185"/>
      <c r="N32" s="185"/>
      <c r="O32" s="186"/>
      <c r="P32" s="186"/>
      <c r="Q32" s="186"/>
      <c r="R32" s="187"/>
      <c r="S32" s="187"/>
      <c r="T32" s="187"/>
      <c r="U32" s="188"/>
      <c r="V32" s="189"/>
      <c r="W32" s="189"/>
      <c r="X32" s="190" t="s">
        <v>107</v>
      </c>
    </row>
    <row r="33" spans="1:24" ht="54.6" customHeight="1" x14ac:dyDescent="0.35">
      <c r="A33" s="227" t="s">
        <v>21</v>
      </c>
      <c r="B33" s="228" t="s">
        <v>43</v>
      </c>
      <c r="C33" s="229"/>
      <c r="D33" s="230">
        <v>15000</v>
      </c>
      <c r="E33" s="230">
        <f>D33*4</f>
        <v>60000</v>
      </c>
      <c r="F33" s="230">
        <v>5000</v>
      </c>
      <c r="G33" s="231">
        <v>60000</v>
      </c>
      <c r="H33" s="183">
        <v>25953.62</v>
      </c>
      <c r="I33" s="184">
        <f>G33-H33</f>
        <v>34046.380000000005</v>
      </c>
      <c r="J33" s="185"/>
      <c r="K33" s="185"/>
      <c r="L33" s="185"/>
      <c r="M33" s="185"/>
      <c r="N33" s="185"/>
      <c r="O33" s="186"/>
      <c r="P33" s="186"/>
      <c r="Q33" s="186"/>
      <c r="R33" s="187"/>
      <c r="S33" s="187"/>
      <c r="T33" s="187"/>
      <c r="U33" s="188"/>
      <c r="V33" s="189"/>
      <c r="W33" s="189"/>
      <c r="X33" s="190"/>
    </row>
    <row r="34" spans="1:24" ht="49.2" customHeight="1" thickBot="1" x14ac:dyDescent="0.4">
      <c r="A34" s="232" t="s">
        <v>50</v>
      </c>
      <c r="B34" s="233" t="s">
        <v>49</v>
      </c>
      <c r="C34" s="234"/>
      <c r="D34" s="235"/>
      <c r="E34" s="235"/>
      <c r="F34" s="235">
        <v>4100</v>
      </c>
      <c r="G34" s="236">
        <v>49200</v>
      </c>
      <c r="H34" s="212">
        <v>51169.1</v>
      </c>
      <c r="I34" s="237">
        <f>G34-H34</f>
        <v>-1969.0999999999985</v>
      </c>
      <c r="J34" s="185"/>
      <c r="K34" s="185"/>
      <c r="L34" s="185"/>
      <c r="M34" s="185"/>
      <c r="N34" s="185"/>
      <c r="O34" s="186"/>
      <c r="P34" s="186"/>
      <c r="Q34" s="186"/>
      <c r="R34" s="187"/>
      <c r="S34" s="187"/>
      <c r="T34" s="187"/>
      <c r="U34" s="188"/>
      <c r="V34" s="189"/>
      <c r="W34" s="189"/>
      <c r="X34" s="214" t="s">
        <v>108</v>
      </c>
    </row>
    <row r="35" spans="1:24" ht="42.6" customHeight="1" thickBot="1" x14ac:dyDescent="0.4">
      <c r="A35" s="238" t="s">
        <v>18</v>
      </c>
      <c r="B35" s="239"/>
      <c r="C35" s="240"/>
      <c r="D35" s="241">
        <f ca="1">SUM(D32:D50)</f>
        <v>48000</v>
      </c>
      <c r="E35" s="241">
        <f ca="1">SUM(E32:E50)</f>
        <v>192000</v>
      </c>
      <c r="F35" s="241">
        <f>SUM(F32:F34)</f>
        <v>10600</v>
      </c>
      <c r="G35" s="241">
        <f>SUM(G32:G34)</f>
        <v>124200</v>
      </c>
      <c r="H35" s="219">
        <f>SUM(H32:H34)</f>
        <v>107122.72</v>
      </c>
      <c r="I35" s="220">
        <f>SUM(I32:I34)</f>
        <v>17077.280000000006</v>
      </c>
      <c r="J35" s="221"/>
      <c r="K35" s="221"/>
      <c r="L35" s="221"/>
      <c r="M35" s="221"/>
      <c r="N35" s="221"/>
      <c r="O35" s="222"/>
      <c r="P35" s="222"/>
      <c r="Q35" s="222"/>
      <c r="R35" s="223"/>
      <c r="S35" s="223"/>
      <c r="T35" s="223"/>
      <c r="U35" s="224"/>
      <c r="V35" s="225"/>
      <c r="W35" s="225"/>
      <c r="X35" s="242"/>
    </row>
    <row r="36" spans="1:24" ht="42.6" customHeight="1" x14ac:dyDescent="0.35">
      <c r="A36" s="111" t="s">
        <v>22</v>
      </c>
      <c r="B36" s="112"/>
      <c r="C36" s="112"/>
      <c r="D36" s="112"/>
      <c r="E36" s="112"/>
      <c r="F36" s="112"/>
      <c r="G36" s="112"/>
      <c r="H36" s="112"/>
      <c r="I36" s="113"/>
      <c r="X36" s="84"/>
    </row>
    <row r="37" spans="1:24" ht="42.6" customHeight="1" x14ac:dyDescent="0.35">
      <c r="A37" s="176" t="s">
        <v>23</v>
      </c>
      <c r="B37" s="177" t="s">
        <v>38</v>
      </c>
      <c r="C37" s="178"/>
      <c r="D37" s="179"/>
      <c r="E37" s="180"/>
      <c r="F37" s="181">
        <v>20000</v>
      </c>
      <c r="G37" s="182">
        <v>240000</v>
      </c>
      <c r="H37" s="183">
        <v>240000</v>
      </c>
      <c r="I37" s="184">
        <f t="shared" ref="I37:I43" si="2">G37-H37</f>
        <v>0</v>
      </c>
      <c r="J37" s="185"/>
      <c r="K37" s="185"/>
      <c r="L37" s="185"/>
      <c r="M37" s="185"/>
      <c r="N37" s="185"/>
      <c r="O37" s="186"/>
      <c r="P37" s="186"/>
      <c r="Q37" s="186"/>
      <c r="R37" s="187"/>
      <c r="S37" s="187"/>
      <c r="T37" s="187"/>
      <c r="U37" s="188"/>
      <c r="V37" s="189"/>
      <c r="W37" s="189"/>
      <c r="X37" s="190"/>
    </row>
    <row r="38" spans="1:24" ht="42.6" customHeight="1" x14ac:dyDescent="0.35">
      <c r="A38" s="191" t="s">
        <v>24</v>
      </c>
      <c r="B38" s="192" t="s">
        <v>39</v>
      </c>
      <c r="C38" s="193"/>
      <c r="D38" s="194">
        <v>0</v>
      </c>
      <c r="E38" s="195">
        <v>0</v>
      </c>
      <c r="F38" s="196">
        <v>50000</v>
      </c>
      <c r="G38" s="197">
        <v>600000</v>
      </c>
      <c r="H38" s="183">
        <v>550000</v>
      </c>
      <c r="I38" s="184">
        <f t="shared" si="2"/>
        <v>50000</v>
      </c>
      <c r="J38" s="185"/>
      <c r="K38" s="185"/>
      <c r="L38" s="185"/>
      <c r="M38" s="185"/>
      <c r="N38" s="185"/>
      <c r="O38" s="186"/>
      <c r="P38" s="186"/>
      <c r="Q38" s="186"/>
      <c r="R38" s="187"/>
      <c r="S38" s="187"/>
      <c r="T38" s="187"/>
      <c r="U38" s="188"/>
      <c r="V38" s="189"/>
      <c r="W38" s="189"/>
      <c r="X38" s="190"/>
    </row>
    <row r="39" spans="1:24" ht="42.6" customHeight="1" x14ac:dyDescent="0.35">
      <c r="A39" s="191" t="s">
        <v>25</v>
      </c>
      <c r="B39" s="192" t="s">
        <v>40</v>
      </c>
      <c r="C39" s="193"/>
      <c r="D39" s="194">
        <v>0</v>
      </c>
      <c r="E39" s="195">
        <v>0</v>
      </c>
      <c r="F39" s="198">
        <v>25000</v>
      </c>
      <c r="G39" s="197">
        <v>300000</v>
      </c>
      <c r="H39" s="183">
        <v>275000</v>
      </c>
      <c r="I39" s="184">
        <f t="shared" si="2"/>
        <v>25000</v>
      </c>
      <c r="J39" s="185"/>
      <c r="K39" s="185"/>
      <c r="L39" s="185"/>
      <c r="M39" s="185"/>
      <c r="N39" s="185"/>
      <c r="O39" s="186"/>
      <c r="P39" s="186"/>
      <c r="Q39" s="186"/>
      <c r="R39" s="187"/>
      <c r="S39" s="187"/>
      <c r="T39" s="187"/>
      <c r="U39" s="188"/>
      <c r="V39" s="189"/>
      <c r="W39" s="189"/>
      <c r="X39" s="190"/>
    </row>
    <row r="40" spans="1:24" ht="51.6" customHeight="1" x14ac:dyDescent="0.35">
      <c r="A40" s="191" t="s">
        <v>26</v>
      </c>
      <c r="B40" s="192" t="s">
        <v>41</v>
      </c>
      <c r="C40" s="199"/>
      <c r="D40" s="200"/>
      <c r="E40" s="201"/>
      <c r="F40" s="196">
        <v>5610</v>
      </c>
      <c r="G40" s="202">
        <v>67320</v>
      </c>
      <c r="H40" s="183">
        <v>61200</v>
      </c>
      <c r="I40" s="184">
        <f t="shared" si="2"/>
        <v>6120</v>
      </c>
      <c r="J40" s="185"/>
      <c r="K40" s="185"/>
      <c r="L40" s="185"/>
      <c r="M40" s="185"/>
      <c r="N40" s="185"/>
      <c r="O40" s="186"/>
      <c r="P40" s="186"/>
      <c r="Q40" s="186"/>
      <c r="R40" s="187"/>
      <c r="S40" s="187"/>
      <c r="T40" s="187"/>
      <c r="U40" s="188"/>
      <c r="V40" s="189"/>
      <c r="W40" s="189"/>
      <c r="X40" s="190"/>
    </row>
    <row r="41" spans="1:24" ht="42.6" customHeight="1" x14ac:dyDescent="0.35">
      <c r="A41" s="191" t="s">
        <v>27</v>
      </c>
      <c r="B41" s="192" t="s">
        <v>14</v>
      </c>
      <c r="C41" s="193"/>
      <c r="D41" s="203"/>
      <c r="E41" s="201"/>
      <c r="F41" s="196"/>
      <c r="G41" s="196">
        <v>40000</v>
      </c>
      <c r="H41" s="183">
        <v>32626.16</v>
      </c>
      <c r="I41" s="184">
        <f t="shared" si="2"/>
        <v>7373.84</v>
      </c>
      <c r="J41" s="185"/>
      <c r="K41" s="185">
        <v>59000</v>
      </c>
      <c r="L41" s="185">
        <f>K41/12</f>
        <v>4916.666666666667</v>
      </c>
      <c r="M41" s="185">
        <v>12</v>
      </c>
      <c r="N41" s="185"/>
      <c r="O41" s="186"/>
      <c r="P41" s="186"/>
      <c r="Q41" s="186"/>
      <c r="R41" s="187"/>
      <c r="S41" s="187"/>
      <c r="T41" s="187"/>
      <c r="U41" s="188"/>
      <c r="V41" s="189"/>
      <c r="W41" s="189"/>
      <c r="X41" s="190"/>
    </row>
    <row r="42" spans="1:24" ht="68.400000000000006" customHeight="1" x14ac:dyDescent="0.35">
      <c r="A42" s="204" t="s">
        <v>28</v>
      </c>
      <c r="B42" s="205" t="s">
        <v>58</v>
      </c>
      <c r="C42" s="199"/>
      <c r="D42" s="206"/>
      <c r="E42" s="207"/>
      <c r="F42" s="208"/>
      <c r="G42" s="208">
        <v>5000</v>
      </c>
      <c r="H42" s="183">
        <f>7000+1998</f>
        <v>8998</v>
      </c>
      <c r="I42" s="209">
        <f t="shared" si="2"/>
        <v>-3998</v>
      </c>
      <c r="J42" s="185"/>
      <c r="K42" s="185"/>
      <c r="L42" s="185"/>
      <c r="M42" s="185"/>
      <c r="N42" s="185"/>
      <c r="O42" s="186"/>
      <c r="P42" s="186"/>
      <c r="Q42" s="186"/>
      <c r="R42" s="187"/>
      <c r="S42" s="187"/>
      <c r="T42" s="187"/>
      <c r="U42" s="188"/>
      <c r="V42" s="189"/>
      <c r="W42" s="189"/>
      <c r="X42" s="190" t="s">
        <v>109</v>
      </c>
    </row>
    <row r="43" spans="1:24" ht="57.6" customHeight="1" thickBot="1" x14ac:dyDescent="0.4">
      <c r="A43" s="204" t="s">
        <v>61</v>
      </c>
      <c r="B43" s="210" t="s">
        <v>82</v>
      </c>
      <c r="C43" s="211"/>
      <c r="D43" s="206"/>
      <c r="E43" s="207"/>
      <c r="F43" s="208"/>
      <c r="G43" s="208">
        <v>8000</v>
      </c>
      <c r="H43" s="212">
        <v>0</v>
      </c>
      <c r="I43" s="213">
        <f t="shared" si="2"/>
        <v>8000</v>
      </c>
      <c r="J43" s="185"/>
      <c r="K43" s="185">
        <f>G43/$M$41</f>
        <v>666.66666666666663</v>
      </c>
      <c r="L43" s="185"/>
      <c r="M43" s="185"/>
      <c r="N43" s="185"/>
      <c r="O43" s="186"/>
      <c r="P43" s="186"/>
      <c r="Q43" s="186"/>
      <c r="R43" s="187"/>
      <c r="S43" s="187"/>
      <c r="T43" s="187"/>
      <c r="U43" s="188"/>
      <c r="V43" s="189"/>
      <c r="W43" s="189"/>
      <c r="X43" s="214"/>
    </row>
    <row r="44" spans="1:24" ht="42.6" customHeight="1" thickBot="1" x14ac:dyDescent="0.4">
      <c r="A44" s="215" t="s">
        <v>19</v>
      </c>
      <c r="B44" s="216"/>
      <c r="C44" s="216"/>
      <c r="D44" s="217"/>
      <c r="E44" s="217"/>
      <c r="F44" s="218">
        <f>SUM(F37:F43)</f>
        <v>100610</v>
      </c>
      <c r="G44" s="218">
        <f>SUM(G37:G43)</f>
        <v>1260320</v>
      </c>
      <c r="H44" s="219">
        <f>SUM(H37:H43)</f>
        <v>1167824.1599999999</v>
      </c>
      <c r="I44" s="220">
        <f>SUM(I37:I43)</f>
        <v>92495.84</v>
      </c>
      <c r="J44" s="221"/>
      <c r="K44" s="221"/>
      <c r="L44" s="221"/>
      <c r="M44" s="221"/>
      <c r="N44" s="221"/>
      <c r="O44" s="222"/>
      <c r="P44" s="222"/>
      <c r="Q44" s="222"/>
      <c r="R44" s="223"/>
      <c r="S44" s="223"/>
      <c r="T44" s="223"/>
      <c r="U44" s="224"/>
      <c r="V44" s="225"/>
      <c r="W44" s="225"/>
      <c r="X44" s="226"/>
    </row>
    <row r="45" spans="1:24" s="35" customFormat="1" ht="42.6" customHeight="1" x14ac:dyDescent="0.35">
      <c r="A45" s="131" t="s">
        <v>46</v>
      </c>
      <c r="B45" s="132"/>
      <c r="C45" s="132"/>
      <c r="D45" s="133"/>
      <c r="E45" s="133"/>
      <c r="F45" s="134"/>
      <c r="G45" s="58">
        <f>G30+G35+G44</f>
        <v>5755236</v>
      </c>
      <c r="H45" s="77">
        <f>H30+H44</f>
        <v>3159213.73</v>
      </c>
      <c r="I45" s="59">
        <f>I30+I35+I44</f>
        <v>2488899.5499999998</v>
      </c>
      <c r="O45" s="28"/>
      <c r="P45" s="28"/>
      <c r="Q45" s="28"/>
      <c r="R45" s="30"/>
      <c r="S45" s="30"/>
      <c r="T45" s="30"/>
      <c r="U45" s="36"/>
      <c r="V45" s="37"/>
      <c r="W45" s="37"/>
      <c r="X45" s="83"/>
    </row>
    <row r="46" spans="1:24" s="35" customFormat="1" ht="42.6" customHeight="1" x14ac:dyDescent="0.35">
      <c r="A46" s="129" t="s">
        <v>102</v>
      </c>
      <c r="B46" s="130"/>
      <c r="C46" s="130"/>
      <c r="D46" s="40"/>
      <c r="E46" s="40"/>
      <c r="F46" s="41"/>
      <c r="G46" s="1">
        <v>55531.28</v>
      </c>
      <c r="H46" s="22"/>
      <c r="I46" s="60"/>
      <c r="O46" s="28"/>
      <c r="P46" s="28"/>
      <c r="Q46" s="28"/>
      <c r="R46" s="30"/>
      <c r="S46" s="30"/>
      <c r="T46" s="30"/>
      <c r="U46" s="36"/>
      <c r="V46" s="37"/>
      <c r="W46" s="37"/>
      <c r="X46" s="78"/>
    </row>
    <row r="47" spans="1:24" s="35" customFormat="1" ht="46.2" customHeight="1" x14ac:dyDescent="0.35">
      <c r="A47" s="138" t="s">
        <v>93</v>
      </c>
      <c r="B47" s="139"/>
      <c r="C47" s="139"/>
      <c r="D47" s="139"/>
      <c r="E47" s="139"/>
      <c r="F47" s="139"/>
      <c r="G47" s="139"/>
      <c r="H47" s="140"/>
      <c r="I47" s="61">
        <f>G45+G46-I45</f>
        <v>3321867.7300000004</v>
      </c>
      <c r="O47" s="28"/>
      <c r="P47" s="28"/>
      <c r="Q47" s="28"/>
      <c r="R47" s="30"/>
      <c r="S47" s="30"/>
      <c r="T47" s="30"/>
      <c r="U47" s="36"/>
      <c r="V47" s="37"/>
      <c r="W47" s="37"/>
      <c r="X47" s="80" t="s">
        <v>103</v>
      </c>
    </row>
    <row r="48" spans="1:24" ht="61.8" customHeight="1" x14ac:dyDescent="0.45">
      <c r="A48" s="94" t="s">
        <v>71</v>
      </c>
      <c r="B48" s="95"/>
      <c r="C48" s="95"/>
      <c r="D48" s="95"/>
      <c r="E48" s="95"/>
      <c r="F48" s="95"/>
      <c r="G48" s="95"/>
      <c r="H48" s="95"/>
      <c r="I48" s="95"/>
      <c r="R48" s="45"/>
    </row>
    <row r="49" spans="1:24" ht="33" customHeight="1" x14ac:dyDescent="0.35">
      <c r="A49" s="135" t="s">
        <v>73</v>
      </c>
      <c r="B49" s="136"/>
      <c r="C49" s="136"/>
      <c r="D49" s="136"/>
      <c r="E49" s="136"/>
      <c r="F49" s="136"/>
      <c r="G49" s="136"/>
      <c r="H49" s="136"/>
      <c r="I49" s="137"/>
      <c r="R49" s="45"/>
    </row>
    <row r="50" spans="1:24" ht="42.6" customHeight="1" x14ac:dyDescent="0.35">
      <c r="A50" s="141" t="s">
        <v>57</v>
      </c>
      <c r="B50" s="142"/>
      <c r="C50" s="142"/>
      <c r="D50" s="142"/>
      <c r="E50" s="142"/>
      <c r="F50" s="142"/>
      <c r="G50" s="142"/>
      <c r="H50" s="142"/>
      <c r="I50" s="142"/>
      <c r="R50" s="45"/>
      <c r="X50" s="81"/>
    </row>
    <row r="51" spans="1:24" ht="34.799999999999997" x14ac:dyDescent="0.35">
      <c r="A51" s="68" t="s">
        <v>44</v>
      </c>
      <c r="B51" s="143" t="s">
        <v>45</v>
      </c>
      <c r="C51" s="143"/>
      <c r="D51" s="68" t="s">
        <v>15</v>
      </c>
      <c r="E51" s="68" t="s">
        <v>13</v>
      </c>
      <c r="F51" s="69" t="s">
        <v>97</v>
      </c>
      <c r="G51" s="69" t="s">
        <v>98</v>
      </c>
      <c r="H51" s="127" t="s">
        <v>95</v>
      </c>
      <c r="I51" s="128"/>
      <c r="J51" s="70"/>
      <c r="K51" s="70"/>
      <c r="L51" s="70"/>
      <c r="M51" s="70"/>
      <c r="N51" s="70"/>
      <c r="O51" s="71"/>
      <c r="P51" s="71"/>
      <c r="Q51" s="71"/>
      <c r="R51" s="72"/>
      <c r="S51" s="73"/>
      <c r="T51" s="73"/>
      <c r="U51" s="74"/>
      <c r="V51" s="75"/>
      <c r="W51" s="75"/>
      <c r="X51" s="82" t="s">
        <v>99</v>
      </c>
    </row>
    <row r="52" spans="1:24" ht="72.599999999999994" customHeight="1" x14ac:dyDescent="0.35">
      <c r="A52" s="4">
        <v>1</v>
      </c>
      <c r="B52" s="103" t="s">
        <v>68</v>
      </c>
      <c r="C52" s="104"/>
      <c r="D52" s="3"/>
      <c r="E52" s="3"/>
      <c r="F52" s="5">
        <v>200000</v>
      </c>
      <c r="G52" s="5">
        <v>74395</v>
      </c>
      <c r="H52" s="107">
        <f>F52-G52</f>
        <v>125605</v>
      </c>
      <c r="I52" s="108"/>
      <c r="J52" s="46"/>
      <c r="K52" s="46"/>
      <c r="L52" s="46"/>
      <c r="M52" s="46"/>
      <c r="N52" s="46"/>
      <c r="O52" s="100"/>
      <c r="Q52" s="47"/>
      <c r="R52" s="48"/>
      <c r="S52" s="49"/>
      <c r="X52" s="85" t="s">
        <v>111</v>
      </c>
    </row>
    <row r="53" spans="1:24" ht="18" x14ac:dyDescent="0.35">
      <c r="A53" s="4">
        <v>2</v>
      </c>
      <c r="B53" s="103" t="s">
        <v>69</v>
      </c>
      <c r="C53" s="104"/>
      <c r="D53" s="3"/>
      <c r="E53" s="3"/>
      <c r="F53" s="5">
        <v>130000</v>
      </c>
      <c r="G53" s="5">
        <v>0</v>
      </c>
      <c r="H53" s="107">
        <f>F53-G53</f>
        <v>130000</v>
      </c>
      <c r="I53" s="108"/>
      <c r="J53" s="46"/>
      <c r="K53" s="46"/>
      <c r="L53" s="46"/>
      <c r="M53" s="46"/>
      <c r="N53" s="46"/>
      <c r="O53" s="100"/>
      <c r="Q53" s="47"/>
      <c r="R53" s="48"/>
      <c r="S53" s="49"/>
      <c r="X53" s="79"/>
    </row>
    <row r="54" spans="1:24" ht="43.2" customHeight="1" x14ac:dyDescent="0.35">
      <c r="A54" s="105" t="s">
        <v>70</v>
      </c>
      <c r="B54" s="106"/>
      <c r="C54" s="106"/>
      <c r="D54" s="66"/>
      <c r="E54" s="66"/>
      <c r="F54" s="67">
        <f>SUM(F52:F53)</f>
        <v>330000</v>
      </c>
      <c r="G54" s="34">
        <f>SUM(G52:G53)</f>
        <v>74395</v>
      </c>
      <c r="H54" s="101">
        <f>F54-G54</f>
        <v>255605</v>
      </c>
      <c r="I54" s="102"/>
      <c r="R54" s="45"/>
      <c r="X54" s="79"/>
    </row>
    <row r="55" spans="1:24" ht="24" customHeight="1" x14ac:dyDescent="0.35">
      <c r="G55" s="38"/>
    </row>
    <row r="56" spans="1:24" ht="22.2" customHeight="1" x14ac:dyDescent="0.45">
      <c r="A56" s="94" t="s">
        <v>110</v>
      </c>
      <c r="B56" s="95"/>
      <c r="C56" s="95"/>
      <c r="D56" s="95"/>
      <c r="E56" s="95"/>
      <c r="F56" s="95"/>
      <c r="G56" s="95"/>
      <c r="H56" s="95"/>
      <c r="I56" s="95"/>
    </row>
    <row r="57" spans="1:24" ht="21.6" customHeight="1" x14ac:dyDescent="0.45">
      <c r="A57" s="50"/>
      <c r="B57" s="51"/>
      <c r="C57" s="51"/>
      <c r="D57" s="51"/>
      <c r="E57" s="51"/>
      <c r="F57" s="51"/>
      <c r="G57" s="51"/>
      <c r="H57" s="65" t="s">
        <v>73</v>
      </c>
      <c r="I57" s="65"/>
    </row>
    <row r="58" spans="1:24" ht="31.2" customHeight="1" x14ac:dyDescent="0.45">
      <c r="A58" s="50"/>
      <c r="B58" s="51"/>
      <c r="C58" s="51"/>
      <c r="D58" s="51"/>
      <c r="E58" s="51"/>
      <c r="F58" s="98" t="s">
        <v>94</v>
      </c>
      <c r="G58" s="99"/>
      <c r="H58" s="62"/>
      <c r="I58" s="51"/>
    </row>
    <row r="59" spans="1:24" s="53" customFormat="1" ht="56.4" customHeight="1" x14ac:dyDescent="0.35">
      <c r="A59" s="96"/>
      <c r="B59" s="96"/>
      <c r="C59" s="96"/>
      <c r="D59" s="55"/>
      <c r="E59" s="55"/>
      <c r="F59" s="55" t="s">
        <v>77</v>
      </c>
      <c r="G59" s="55" t="s">
        <v>79</v>
      </c>
      <c r="H59" s="63" t="s">
        <v>96</v>
      </c>
      <c r="I59" s="52"/>
      <c r="O59" s="52"/>
      <c r="P59" s="52"/>
      <c r="Q59" s="52"/>
      <c r="R59" s="52"/>
      <c r="S59" s="52"/>
      <c r="T59" s="52"/>
      <c r="X59" s="52"/>
    </row>
    <row r="60" spans="1:24" s="11" customFormat="1" ht="45.6" customHeight="1" x14ac:dyDescent="0.35">
      <c r="A60" s="97" t="s">
        <v>78</v>
      </c>
      <c r="B60" s="97"/>
      <c r="C60" s="97"/>
      <c r="D60" s="54"/>
      <c r="E60" s="54"/>
      <c r="F60" s="56">
        <v>8657</v>
      </c>
      <c r="G60" s="56">
        <f>F60*61</f>
        <v>528077</v>
      </c>
      <c r="H60" s="64">
        <f>0</f>
        <v>0</v>
      </c>
      <c r="I60" s="76"/>
      <c r="O60" s="9"/>
      <c r="P60" s="9"/>
      <c r="Q60" s="9"/>
      <c r="R60" s="10"/>
      <c r="S60" s="10"/>
      <c r="T60" s="10"/>
      <c r="X60" s="52"/>
    </row>
  </sheetData>
  <sheetProtection algorithmName="SHA-512" hashValue="pyZDu4JFI4s2DMvd81T6gUMO2xZ+zSMTvT+k4MG6/51UOCBTpFfT+MxWu052IPNiX1pnVm7POFq/tAvlaV3ztg==" saltValue="/wWA7F3ZzbxIZ8a3b5cOaw==" spinCount="100000" sheet="1" formatCells="0" formatColumns="0" formatRows="0" insertColumns="0" insertRows="0" insertHyperlinks="0" deleteColumns="0" deleteRows="0" sort="0" autoFilter="0" pivotTables="0"/>
  <mergeCells count="75">
    <mergeCell ref="I1:X1"/>
    <mergeCell ref="I2:X2"/>
    <mergeCell ref="X11:X12"/>
    <mergeCell ref="X14:X15"/>
    <mergeCell ref="B17:C17"/>
    <mergeCell ref="A4:I4"/>
    <mergeCell ref="A5:I5"/>
    <mergeCell ref="A11:I11"/>
    <mergeCell ref="A6:A7"/>
    <mergeCell ref="B12:I12"/>
    <mergeCell ref="A10:C10"/>
    <mergeCell ref="B8:C8"/>
    <mergeCell ref="G6:H6"/>
    <mergeCell ref="B9:C9"/>
    <mergeCell ref="I6:I7"/>
    <mergeCell ref="F6:F7"/>
    <mergeCell ref="B6:C7"/>
    <mergeCell ref="B16:C16"/>
    <mergeCell ref="A48:I48"/>
    <mergeCell ref="B18:C18"/>
    <mergeCell ref="H51:I51"/>
    <mergeCell ref="A46:C46"/>
    <mergeCell ref="A45:F45"/>
    <mergeCell ref="B42:C42"/>
    <mergeCell ref="A49:I49"/>
    <mergeCell ref="A47:H47"/>
    <mergeCell ref="A50:I50"/>
    <mergeCell ref="B51:C51"/>
    <mergeCell ref="O14:P14"/>
    <mergeCell ref="B38:C38"/>
    <mergeCell ref="B39:C39"/>
    <mergeCell ref="A31:I31"/>
    <mergeCell ref="A36:I36"/>
    <mergeCell ref="A13:C14"/>
    <mergeCell ref="A15:I15"/>
    <mergeCell ref="I13:I14"/>
    <mergeCell ref="D13:E13"/>
    <mergeCell ref="B33:C33"/>
    <mergeCell ref="B32:C32"/>
    <mergeCell ref="B24:C24"/>
    <mergeCell ref="A44:C44"/>
    <mergeCell ref="B34:C34"/>
    <mergeCell ref="B22:C22"/>
    <mergeCell ref="B27:C27"/>
    <mergeCell ref="B37:C37"/>
    <mergeCell ref="B40:C40"/>
    <mergeCell ref="B43:C43"/>
    <mergeCell ref="B41:C41"/>
    <mergeCell ref="B25:C25"/>
    <mergeCell ref="A30:C30"/>
    <mergeCell ref="B28:C28"/>
    <mergeCell ref="A35:C35"/>
    <mergeCell ref="A56:I56"/>
    <mergeCell ref="A59:C59"/>
    <mergeCell ref="A60:C60"/>
    <mergeCell ref="F58:G58"/>
    <mergeCell ref="O52:O53"/>
    <mergeCell ref="H54:I54"/>
    <mergeCell ref="B53:C53"/>
    <mergeCell ref="A54:C54"/>
    <mergeCell ref="H53:I53"/>
    <mergeCell ref="H52:I52"/>
    <mergeCell ref="B52:C52"/>
    <mergeCell ref="G8:G9"/>
    <mergeCell ref="H8:H9"/>
    <mergeCell ref="I8:I9"/>
    <mergeCell ref="H13:H14"/>
    <mergeCell ref="B29:C29"/>
    <mergeCell ref="B26:C26"/>
    <mergeCell ref="F13:G13"/>
    <mergeCell ref="B23:D23"/>
    <mergeCell ref="I22:I23"/>
    <mergeCell ref="B19:C19"/>
    <mergeCell ref="B20:C20"/>
    <mergeCell ref="B21:C21"/>
  </mergeCells>
  <pageMargins left="0.31496062992125984" right="0.31496062992125984" top="0.35433070866141736" bottom="0.35433070866141736" header="0.31496062992125984" footer="0.31496062992125984"/>
  <pageSetup paperSize="9" scale="39" fitToHeight="0" orientation="portrait" verticalDpi="0" r:id="rId1"/>
  <rowBreaks count="1" manualBreakCount="1">
    <brk id="35" max="2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</vt:lpstr>
      <vt:lpstr>'Отчет '!Print_Area</vt:lpstr>
      <vt:lpstr>'Отчет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Шершон</dc:creator>
  <cp:lastModifiedBy>Любовь Шершон</cp:lastModifiedBy>
  <cp:lastPrinted>2023-02-28T13:04:37Z</cp:lastPrinted>
  <dcterms:created xsi:type="dcterms:W3CDTF">2022-02-21T12:33:56Z</dcterms:created>
  <dcterms:modified xsi:type="dcterms:W3CDTF">2025-02-13T13:41:14Z</dcterms:modified>
</cp:coreProperties>
</file>